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850" activeTab="0"/>
  </bookViews>
  <sheets>
    <sheet name="教師月退" sheetId="1" r:id="rId1"/>
    <sheet name="教師支二分之一" sheetId="2" r:id="rId2"/>
  </sheets>
  <definedNames/>
  <calcPr fullCalcOnLoad="1"/>
</workbook>
</file>

<file path=xl/sharedStrings.xml><?xml version="1.0" encoding="utf-8"?>
<sst xmlns="http://schemas.openxmlformats.org/spreadsheetml/2006/main" count="186" uniqueCount="69">
  <si>
    <t>每月舊制年資退休金</t>
  </si>
  <si>
    <t>每月新制年資退休金</t>
  </si>
  <si>
    <t>1/12之年終慰問金</t>
  </si>
  <si>
    <t>＋</t>
  </si>
  <si>
    <t>退休人員所得合計</t>
  </si>
  <si>
    <t>學術研究費</t>
  </si>
  <si>
    <t>退休年資為</t>
  </si>
  <si>
    <t>×</t>
  </si>
  <si>
    <t>÷</t>
  </si>
  <si>
    <t>退休人員所得（分子）÷現職人員待遇（分母）</t>
  </si>
  <si>
    <t>年點數</t>
  </si>
  <si>
    <t>＝</t>
  </si>
  <si>
    <t>　　組長</t>
  </si>
  <si>
    <t>　　主任</t>
  </si>
  <si>
    <t>共計</t>
  </si>
  <si>
    <t>點，</t>
  </si>
  <si>
    <t>（</t>
  </si>
  <si>
    <t>）</t>
  </si>
  <si>
    <t>本薪（年功薪）</t>
  </si>
  <si>
    <t>主管職務加給</t>
  </si>
  <si>
    <t>現職人員待遇合計</t>
  </si>
  <si>
    <t>退休所得替代率</t>
  </si>
  <si>
    <t>年</t>
  </si>
  <si>
    <t>點。</t>
  </si>
  <si>
    <t>1/12之年終工作獎金</t>
  </si>
  <si>
    <t>年</t>
  </si>
  <si>
    <t>退休日期</t>
  </si>
  <si>
    <t>月</t>
  </si>
  <si>
    <t>職稱</t>
  </si>
  <si>
    <t>姓名</t>
  </si>
  <si>
    <t>核定年資：</t>
  </si>
  <si>
    <t>組長</t>
  </si>
  <si>
    <t>主任</t>
  </si>
  <si>
    <t>年</t>
  </si>
  <si>
    <t>日</t>
  </si>
  <si>
    <t>元</t>
  </si>
  <si>
    <t>退休薪級：</t>
  </si>
  <si>
    <t>月支數額：</t>
  </si>
  <si>
    <t>年（舊制：</t>
  </si>
  <si>
    <t>百分比：</t>
  </si>
  <si>
    <t>新制：</t>
  </si>
  <si>
    <t>百分比：</t>
  </si>
  <si>
    <t>導師</t>
  </si>
  <si>
    <t>兼任：</t>
  </si>
  <si>
    <t>退休所得替代率：</t>
  </si>
  <si>
    <t>年終慰問金百分比：</t>
  </si>
  <si>
    <t>退休所得替代率上限百分比</t>
  </si>
  <si>
    <t>教師</t>
  </si>
  <si>
    <r>
      <t>說明：</t>
    </r>
    <r>
      <rPr>
        <sz val="16"/>
        <color indexed="10"/>
        <rFont val="標楷體"/>
        <family val="4"/>
      </rPr>
      <t>本表僅填有顏色之欄位即可。兼領月退休金人員依其兼領比例另行計算。</t>
    </r>
  </si>
  <si>
    <r>
      <t>學術研究費</t>
    </r>
    <r>
      <rPr>
        <sz val="16"/>
        <rFont val="標楷體"/>
        <family val="4"/>
      </rPr>
      <t>：</t>
    </r>
  </si>
  <si>
    <t>得計兼任主管職務加給：</t>
  </si>
  <si>
    <t>元</t>
  </si>
  <si>
    <t>27</t>
  </si>
  <si>
    <t>每月應收取之公保養老給付利息</t>
  </si>
  <si>
    <r>
      <t>（上限百分比</t>
    </r>
    <r>
      <rPr>
        <sz val="16"/>
        <rFont val="標楷體"/>
        <family val="4"/>
      </rPr>
      <t>－退休所得替代率）× 現職人員待遇</t>
    </r>
  </si>
  <si>
    <t>退休可存優惠存款金額上限</t>
  </si>
  <si>
    <t>公保優惠存款利息</t>
  </si>
  <si>
    <t>莊三娘</t>
  </si>
  <si>
    <t>38</t>
  </si>
  <si>
    <t>11</t>
  </si>
  <si>
    <r>
      <t>退休所得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分子</t>
    </r>
    <r>
      <rPr>
        <sz val="16"/>
        <rFont val="Times New Roman"/>
        <family val="1"/>
      </rPr>
      <t>)</t>
    </r>
  </si>
  <si>
    <t>現職待遇（分母）</t>
  </si>
  <si>
    <t>每月得支領之退休所得</t>
  </si>
  <si>
    <r>
      <t>退休可存優惠存款金額上限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不含二分之一次退休金</t>
    </r>
    <r>
      <rPr>
        <sz val="16"/>
        <rFont val="Times New Roman"/>
        <family val="1"/>
      </rPr>
      <t>)</t>
    </r>
  </si>
  <si>
    <r>
      <t>每月得支領之退休所得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不含二分之一一次退休金優惠存款利息</t>
    </r>
    <r>
      <rPr>
        <sz val="16"/>
        <rFont val="Times New Roman"/>
        <family val="1"/>
      </rPr>
      <t>)</t>
    </r>
  </si>
  <si>
    <t>莊大媽</t>
  </si>
  <si>
    <r>
      <t>每月應收取優惠存款利息＊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／</t>
    </r>
    <r>
      <rPr>
        <sz val="16"/>
        <rFont val="Times New Roman"/>
        <family val="1"/>
      </rPr>
      <t>18%(</t>
    </r>
    <r>
      <rPr>
        <sz val="16"/>
        <rFont val="標楷體"/>
        <family val="4"/>
      </rPr>
      <t>若公保處計算之得存優惠存款數額低於計算數者以該數額為準</t>
    </r>
    <r>
      <rPr>
        <sz val="16"/>
        <rFont val="Times New Roman"/>
        <family val="1"/>
      </rPr>
      <t>)</t>
    </r>
  </si>
  <si>
    <r>
      <t>退休所得</t>
    </r>
    <r>
      <rPr>
        <sz val="16"/>
        <rFont val="Times New Roman"/>
        <family val="1"/>
      </rPr>
      <t>+</t>
    </r>
    <r>
      <rPr>
        <sz val="16"/>
        <rFont val="標楷體"/>
        <family val="4"/>
      </rPr>
      <t>每月每月公保養老給付優惠存款利息</t>
    </r>
  </si>
  <si>
    <r>
      <t>退休人員所得</t>
    </r>
    <r>
      <rPr>
        <sz val="16"/>
        <rFont val="Times New Roman"/>
        <family val="1"/>
      </rPr>
      <t>+</t>
    </r>
    <r>
      <rPr>
        <sz val="16"/>
        <rFont val="標楷體"/>
        <family val="4"/>
      </rPr>
      <t>每月之公保養老給付優惠存款利息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</si>
</sst>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.0%"/>
  </numFmts>
  <fonts count="7">
    <font>
      <sz val="12"/>
      <name val="新細明體"/>
      <family val="0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12"/>
      <name val="標楷體"/>
      <family val="4"/>
    </font>
    <font>
      <sz val="16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9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9" fontId="2" fillId="0" borderId="8" xfId="0" applyNumberFormat="1" applyFont="1" applyFill="1" applyBorder="1" applyAlignment="1">
      <alignment horizontal="right"/>
    </xf>
    <xf numFmtId="179" fontId="2" fillId="0" borderId="9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 vertic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/>
    </xf>
    <xf numFmtId="0" fontId="0" fillId="0" borderId="13" xfId="0" applyBorder="1" applyAlignment="1">
      <alignment vertical="center" wrapText="1"/>
    </xf>
    <xf numFmtId="181" fontId="2" fillId="2" borderId="0" xfId="0" applyNumberFormat="1" applyFont="1" applyFill="1" applyAlignment="1">
      <alignment/>
    </xf>
    <xf numFmtId="181" fontId="2" fillId="0" borderId="1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180" fontId="2" fillId="0" borderId="24" xfId="0" applyNumberFormat="1" applyFont="1" applyBorder="1" applyAlignment="1">
      <alignment horizontal="right" vertical="center"/>
    </xf>
    <xf numFmtId="180" fontId="2" fillId="0" borderId="2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80" fontId="2" fillId="0" borderId="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right"/>
    </xf>
    <xf numFmtId="179" fontId="2" fillId="0" borderId="24" xfId="0" applyNumberFormat="1" applyFont="1" applyBorder="1" applyAlignment="1">
      <alignment horizontal="right" vertical="center"/>
    </xf>
    <xf numFmtId="179" fontId="2" fillId="0" borderId="25" xfId="0" applyNumberFormat="1" applyFont="1" applyBorder="1" applyAlignment="1">
      <alignment horizontal="right" vertical="center"/>
    </xf>
    <xf numFmtId="10" fontId="2" fillId="0" borderId="18" xfId="0" applyNumberFormat="1" applyFont="1" applyBorder="1" applyAlignment="1">
      <alignment horizontal="center" vertical="center"/>
    </xf>
    <xf numFmtId="9" fontId="3" fillId="2" borderId="14" xfId="0" applyNumberFormat="1" applyFont="1" applyFill="1" applyBorder="1" applyAlignment="1">
      <alignment/>
    </xf>
    <xf numFmtId="9" fontId="0" fillId="2" borderId="14" xfId="0" applyNumberFormat="1" applyFill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58" zoomScaleNormal="58" workbookViewId="0" topLeftCell="A4">
      <selection activeCell="A22" sqref="A22:S22"/>
    </sheetView>
  </sheetViews>
  <sheetFormatPr defaultColWidth="9.00390625" defaultRowHeight="16.5"/>
  <cols>
    <col min="1" max="3" width="5.875" style="1" customWidth="1"/>
    <col min="4" max="4" width="7.25390625" style="1" bestFit="1" customWidth="1"/>
    <col min="5" max="25" width="5.875" style="1" customWidth="1"/>
    <col min="26" max="26" width="15.625" style="1" bestFit="1" customWidth="1"/>
    <col min="27" max="16384" width="5.875" style="1" customWidth="1"/>
  </cols>
  <sheetData>
    <row r="1" spans="1:26" ht="29.25" customHeight="1">
      <c r="A1" s="1" t="s">
        <v>28</v>
      </c>
      <c r="B1" s="125" t="s">
        <v>47</v>
      </c>
      <c r="C1" s="125"/>
      <c r="D1" s="3" t="s">
        <v>29</v>
      </c>
      <c r="E1" s="71" t="s">
        <v>65</v>
      </c>
      <c r="F1" s="71"/>
      <c r="G1" s="68" t="s">
        <v>30</v>
      </c>
      <c r="H1" s="69"/>
      <c r="I1" s="69"/>
      <c r="J1" s="34" t="s">
        <v>58</v>
      </c>
      <c r="K1" s="68" t="s">
        <v>38</v>
      </c>
      <c r="L1" s="68"/>
      <c r="M1" s="68"/>
      <c r="N1" s="34" t="s">
        <v>52</v>
      </c>
      <c r="O1" s="3" t="s">
        <v>22</v>
      </c>
      <c r="P1" s="68" t="s">
        <v>39</v>
      </c>
      <c r="Q1" s="68"/>
      <c r="R1" s="25">
        <v>0.87</v>
      </c>
      <c r="S1" s="68" t="s">
        <v>40</v>
      </c>
      <c r="T1" s="70"/>
      <c r="U1" s="35" t="s">
        <v>59</v>
      </c>
      <c r="V1" s="8" t="s">
        <v>22</v>
      </c>
      <c r="W1" s="68" t="s">
        <v>41</v>
      </c>
      <c r="X1" s="68"/>
      <c r="Y1" s="25">
        <v>0.22</v>
      </c>
      <c r="Z1" s="9" t="s">
        <v>17</v>
      </c>
    </row>
    <row r="2" spans="1:26" ht="30.75" customHeight="1">
      <c r="A2" s="68" t="s">
        <v>43</v>
      </c>
      <c r="B2" s="69"/>
      <c r="C2" s="3" t="s">
        <v>42</v>
      </c>
      <c r="D2" s="26">
        <v>15</v>
      </c>
      <c r="E2" s="3" t="s">
        <v>33</v>
      </c>
      <c r="F2" s="2" t="s">
        <v>31</v>
      </c>
      <c r="G2" s="21">
        <v>6</v>
      </c>
      <c r="H2" s="3" t="s">
        <v>25</v>
      </c>
      <c r="I2" s="2" t="s">
        <v>32</v>
      </c>
      <c r="J2" s="21">
        <v>4</v>
      </c>
      <c r="K2" s="3" t="s">
        <v>22</v>
      </c>
      <c r="L2" s="3"/>
      <c r="M2" s="72" t="s">
        <v>26</v>
      </c>
      <c r="N2" s="69"/>
      <c r="O2" s="21">
        <v>95</v>
      </c>
      <c r="P2" s="3" t="s">
        <v>25</v>
      </c>
      <c r="Q2" s="21">
        <v>8</v>
      </c>
      <c r="R2" s="3" t="s">
        <v>27</v>
      </c>
      <c r="S2" s="21">
        <v>1</v>
      </c>
      <c r="T2" s="3" t="s">
        <v>34</v>
      </c>
      <c r="U2" s="68" t="s">
        <v>49</v>
      </c>
      <c r="V2" s="68"/>
      <c r="W2" s="68"/>
      <c r="X2" s="68"/>
      <c r="Y2" s="69"/>
      <c r="Z2" s="19">
        <v>25570</v>
      </c>
    </row>
    <row r="3" spans="1:26" ht="30" customHeight="1">
      <c r="A3" s="68" t="s">
        <v>36</v>
      </c>
      <c r="B3" s="69"/>
      <c r="C3" s="69"/>
      <c r="D3" s="69"/>
      <c r="E3" s="20">
        <v>625</v>
      </c>
      <c r="F3" s="3" t="s">
        <v>35</v>
      </c>
      <c r="G3" s="68" t="s">
        <v>37</v>
      </c>
      <c r="H3" s="68"/>
      <c r="I3" s="69"/>
      <c r="J3" s="71">
        <v>45665</v>
      </c>
      <c r="K3" s="71"/>
      <c r="L3" s="3" t="s">
        <v>35</v>
      </c>
      <c r="M3" s="3"/>
      <c r="N3" s="68"/>
      <c r="O3" s="69"/>
      <c r="P3" s="69"/>
      <c r="Q3" s="69"/>
      <c r="R3" s="51"/>
      <c r="S3" s="51"/>
      <c r="V3" s="68" t="s">
        <v>44</v>
      </c>
      <c r="W3" s="68"/>
      <c r="X3" s="68"/>
      <c r="Y3" s="68"/>
      <c r="Z3" s="37">
        <v>0.965</v>
      </c>
    </row>
    <row r="4" spans="1:20" ht="27.75" customHeight="1" thickBot="1">
      <c r="A4" s="68" t="s">
        <v>45</v>
      </c>
      <c r="B4" s="68"/>
      <c r="C4" s="68"/>
      <c r="D4" s="68"/>
      <c r="E4" s="69"/>
      <c r="F4" s="89">
        <v>0.95</v>
      </c>
      <c r="G4" s="90"/>
      <c r="M4" s="122" t="s">
        <v>50</v>
      </c>
      <c r="N4" s="122"/>
      <c r="O4" s="122"/>
      <c r="P4" s="122"/>
      <c r="Q4" s="122"/>
      <c r="R4" s="40">
        <v>3000</v>
      </c>
      <c r="S4" s="40"/>
      <c r="T4" s="1" t="s">
        <v>51</v>
      </c>
    </row>
    <row r="5" spans="1:26" s="10" customFormat="1" ht="21">
      <c r="A5" s="91" t="s">
        <v>60</v>
      </c>
      <c r="B5" s="92"/>
      <c r="C5" s="92"/>
      <c r="D5" s="93"/>
      <c r="E5" s="41" t="s">
        <v>0</v>
      </c>
      <c r="F5" s="39"/>
      <c r="G5" s="39"/>
      <c r="H5" s="39"/>
      <c r="I5" s="39"/>
      <c r="J5" s="39"/>
      <c r="K5" s="39"/>
      <c r="L5" s="39"/>
      <c r="M5" s="39"/>
      <c r="N5" s="39"/>
      <c r="O5" s="13" t="s">
        <v>16</v>
      </c>
      <c r="P5" s="63">
        <f>J3</f>
        <v>45665</v>
      </c>
      <c r="Q5" s="63"/>
      <c r="R5" s="14" t="s">
        <v>7</v>
      </c>
      <c r="S5" s="49">
        <f>R1</f>
        <v>0.87</v>
      </c>
      <c r="T5" s="50"/>
      <c r="U5" s="15" t="s">
        <v>17</v>
      </c>
      <c r="V5" s="14" t="s">
        <v>3</v>
      </c>
      <c r="W5" s="50">
        <v>930</v>
      </c>
      <c r="X5" s="39"/>
      <c r="Y5" s="12"/>
      <c r="Z5" s="29">
        <f>(P5*S5)+W5</f>
        <v>40658.55</v>
      </c>
    </row>
    <row r="6" spans="1:26" s="10" customFormat="1" ht="21">
      <c r="A6" s="94"/>
      <c r="B6" s="95"/>
      <c r="C6" s="95"/>
      <c r="D6" s="96"/>
      <c r="E6" s="41" t="s">
        <v>1</v>
      </c>
      <c r="F6" s="39"/>
      <c r="G6" s="39"/>
      <c r="H6" s="39"/>
      <c r="I6" s="39"/>
      <c r="J6" s="39"/>
      <c r="K6" s="39"/>
      <c r="L6" s="39"/>
      <c r="M6" s="39"/>
      <c r="N6" s="39"/>
      <c r="O6" s="13"/>
      <c r="P6" s="63">
        <f>Z10</f>
        <v>45665</v>
      </c>
      <c r="Q6" s="63"/>
      <c r="R6" s="14" t="s">
        <v>7</v>
      </c>
      <c r="S6" s="14">
        <v>2</v>
      </c>
      <c r="T6" s="14" t="s">
        <v>7</v>
      </c>
      <c r="U6" s="49">
        <f>Y1</f>
        <v>0.22</v>
      </c>
      <c r="V6" s="50"/>
      <c r="W6" s="11"/>
      <c r="X6" s="11"/>
      <c r="Y6" s="12"/>
      <c r="Z6" s="29">
        <f>P6*S6*U6</f>
        <v>20092.6</v>
      </c>
    </row>
    <row r="7" spans="1:26" s="10" customFormat="1" ht="21">
      <c r="A7" s="94"/>
      <c r="B7" s="95"/>
      <c r="C7" s="95"/>
      <c r="D7" s="96"/>
      <c r="E7" s="41" t="s">
        <v>56</v>
      </c>
      <c r="F7" s="39"/>
      <c r="G7" s="39"/>
      <c r="H7" s="39"/>
      <c r="I7" s="39"/>
      <c r="J7" s="39"/>
      <c r="K7" s="39"/>
      <c r="L7" s="39"/>
      <c r="M7" s="39"/>
      <c r="N7" s="39"/>
      <c r="O7" s="13"/>
      <c r="P7" s="63"/>
      <c r="Q7" s="63"/>
      <c r="R7" s="100"/>
      <c r="S7" s="14"/>
      <c r="T7" s="14"/>
      <c r="U7" s="49"/>
      <c r="V7" s="50"/>
      <c r="W7" s="11"/>
      <c r="X7" s="14"/>
      <c r="Y7" s="16"/>
      <c r="Z7" s="29"/>
    </row>
    <row r="8" spans="1:26" s="10" customFormat="1" ht="21">
      <c r="A8" s="94"/>
      <c r="B8" s="95"/>
      <c r="C8" s="95"/>
      <c r="D8" s="96"/>
      <c r="E8" s="41" t="s">
        <v>2</v>
      </c>
      <c r="F8" s="39"/>
      <c r="G8" s="39"/>
      <c r="H8" s="39"/>
      <c r="I8" s="39"/>
      <c r="J8" s="39"/>
      <c r="K8" s="39"/>
      <c r="L8" s="39"/>
      <c r="M8" s="39"/>
      <c r="N8" s="39"/>
      <c r="O8" s="13" t="s">
        <v>16</v>
      </c>
      <c r="P8" s="63">
        <f>J3</f>
        <v>45665</v>
      </c>
      <c r="Q8" s="63"/>
      <c r="R8" s="14" t="s">
        <v>7</v>
      </c>
      <c r="S8" s="14">
        <v>1.5</v>
      </c>
      <c r="T8" s="14" t="s">
        <v>7</v>
      </c>
      <c r="U8" s="49">
        <f>F4</f>
        <v>0.95</v>
      </c>
      <c r="V8" s="50"/>
      <c r="W8" s="11" t="s">
        <v>17</v>
      </c>
      <c r="X8" s="14" t="s">
        <v>8</v>
      </c>
      <c r="Y8" s="16">
        <v>12</v>
      </c>
      <c r="Z8" s="29">
        <f>(P8*S8*U8)/Y8</f>
        <v>5422.71875</v>
      </c>
    </row>
    <row r="9" spans="1:26" s="10" customFormat="1" ht="21.75" thickBot="1">
      <c r="A9" s="102"/>
      <c r="B9" s="103"/>
      <c r="C9" s="103"/>
      <c r="D9" s="104"/>
      <c r="E9" s="123" t="s">
        <v>4</v>
      </c>
      <c r="F9" s="124"/>
      <c r="G9" s="124"/>
      <c r="H9" s="124"/>
      <c r="I9" s="124"/>
      <c r="J9" s="124"/>
      <c r="K9" s="124"/>
      <c r="L9" s="124"/>
      <c r="M9" s="124"/>
      <c r="N9" s="124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30">
        <f>Z5+Z6+Z7+Z8</f>
        <v>66173.86875</v>
      </c>
    </row>
    <row r="10" spans="1:26" ht="21">
      <c r="A10" s="91" t="s">
        <v>61</v>
      </c>
      <c r="B10" s="92"/>
      <c r="C10" s="92"/>
      <c r="D10" s="93"/>
      <c r="E10" s="126" t="s">
        <v>18</v>
      </c>
      <c r="F10" s="127"/>
      <c r="G10" s="127"/>
      <c r="H10" s="127"/>
      <c r="I10" s="127"/>
      <c r="J10" s="127"/>
      <c r="K10" s="127"/>
      <c r="L10" s="127"/>
      <c r="M10" s="127"/>
      <c r="N10" s="127"/>
      <c r="O10" s="42">
        <f>E3</f>
        <v>625</v>
      </c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31">
        <f>J3</f>
        <v>45665</v>
      </c>
    </row>
    <row r="11" spans="1:26" ht="21">
      <c r="A11" s="94"/>
      <c r="B11" s="95"/>
      <c r="C11" s="95"/>
      <c r="D11" s="96"/>
      <c r="E11" s="41" t="s">
        <v>5</v>
      </c>
      <c r="F11" s="39"/>
      <c r="G11" s="39"/>
      <c r="H11" s="39"/>
      <c r="I11" s="39"/>
      <c r="J11" s="39"/>
      <c r="K11" s="39"/>
      <c r="L11" s="39"/>
      <c r="M11" s="39"/>
      <c r="N11" s="3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62"/>
      <c r="Z11" s="29">
        <f>Z2</f>
        <v>25570</v>
      </c>
    </row>
    <row r="12" spans="1:26" ht="21">
      <c r="A12" s="94"/>
      <c r="B12" s="95"/>
      <c r="C12" s="95"/>
      <c r="D12" s="96"/>
      <c r="E12" s="41" t="s">
        <v>19</v>
      </c>
      <c r="F12" s="39"/>
      <c r="G12" s="39"/>
      <c r="H12" s="39"/>
      <c r="I12" s="39"/>
      <c r="J12" s="39"/>
      <c r="K12" s="39"/>
      <c r="L12" s="39"/>
      <c r="M12" s="39"/>
      <c r="N12" s="3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29">
        <f>R4</f>
        <v>3000</v>
      </c>
    </row>
    <row r="13" spans="1:26" ht="21">
      <c r="A13" s="94"/>
      <c r="B13" s="95"/>
      <c r="C13" s="95"/>
      <c r="D13" s="96"/>
      <c r="E13" s="41" t="s">
        <v>24</v>
      </c>
      <c r="F13" s="39"/>
      <c r="G13" s="39"/>
      <c r="H13" s="39"/>
      <c r="I13" s="39"/>
      <c r="J13" s="39"/>
      <c r="K13" s="14" t="s">
        <v>16</v>
      </c>
      <c r="L13" s="63">
        <f>Z10</f>
        <v>45665</v>
      </c>
      <c r="M13" s="63"/>
      <c r="N13" s="14" t="s">
        <v>3</v>
      </c>
      <c r="O13" s="63">
        <f>Z11</f>
        <v>25570</v>
      </c>
      <c r="P13" s="63"/>
      <c r="Q13" s="14" t="s">
        <v>3</v>
      </c>
      <c r="R13" s="63">
        <f>Z12</f>
        <v>3000</v>
      </c>
      <c r="S13" s="63"/>
      <c r="T13" s="14" t="s">
        <v>17</v>
      </c>
      <c r="U13" s="14" t="s">
        <v>7</v>
      </c>
      <c r="V13" s="50">
        <v>1.5</v>
      </c>
      <c r="W13" s="50"/>
      <c r="X13" s="14" t="s">
        <v>8</v>
      </c>
      <c r="Y13" s="16">
        <v>12</v>
      </c>
      <c r="Z13" s="29">
        <f>(L13+O13+R13)*V13/Y13</f>
        <v>9279.375</v>
      </c>
    </row>
    <row r="14" spans="1:26" ht="21.75" thickBot="1">
      <c r="A14" s="97"/>
      <c r="B14" s="98"/>
      <c r="C14" s="98"/>
      <c r="D14" s="99"/>
      <c r="E14" s="123" t="s">
        <v>20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30">
        <f>Z10+Z11+Z12+Z13</f>
        <v>83514.375</v>
      </c>
    </row>
    <row r="15" spans="1:26" ht="21.75" thickBot="1">
      <c r="A15" s="117" t="s">
        <v>21</v>
      </c>
      <c r="B15" s="118"/>
      <c r="C15" s="118"/>
      <c r="D15" s="118"/>
      <c r="E15" s="81" t="s">
        <v>9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5"/>
      <c r="R15" s="5"/>
      <c r="S15" s="5"/>
      <c r="T15" s="85">
        <f>Z9</f>
        <v>66173.86875</v>
      </c>
      <c r="U15" s="85"/>
      <c r="V15" s="85"/>
      <c r="W15" s="4" t="s">
        <v>8</v>
      </c>
      <c r="X15" s="83">
        <f>Z14</f>
        <v>83514.375</v>
      </c>
      <c r="Y15" s="84"/>
      <c r="Z15" s="32">
        <f>T15/X15</f>
        <v>0.7923650120114052</v>
      </c>
    </row>
    <row r="16" spans="1:26" ht="48.75" customHeight="1" thickBot="1">
      <c r="A16" s="119" t="s">
        <v>46</v>
      </c>
      <c r="B16" s="120"/>
      <c r="C16" s="120"/>
      <c r="D16" s="121"/>
      <c r="E16" s="53" t="s">
        <v>6</v>
      </c>
      <c r="F16" s="54"/>
      <c r="G16" s="54"/>
      <c r="H16" s="60" t="str">
        <f>J1</f>
        <v>38</v>
      </c>
      <c r="I16" s="61"/>
      <c r="J16" s="28" t="s">
        <v>22</v>
      </c>
      <c r="K16" s="28"/>
      <c r="L16" s="28"/>
      <c r="M16" s="28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6"/>
      <c r="Z16" s="38">
        <f>Z3</f>
        <v>0.965</v>
      </c>
    </row>
    <row r="17" spans="1:26" ht="21">
      <c r="A17" s="111" t="s">
        <v>53</v>
      </c>
      <c r="B17" s="112"/>
      <c r="C17" s="112"/>
      <c r="D17" s="113"/>
      <c r="E17" s="64" t="s">
        <v>54</v>
      </c>
      <c r="F17" s="65"/>
      <c r="G17" s="65"/>
      <c r="H17" s="65"/>
      <c r="I17" s="65"/>
      <c r="J17" s="65"/>
      <c r="K17" s="65"/>
      <c r="L17" s="65"/>
      <c r="M17" s="65"/>
      <c r="N17" s="65"/>
      <c r="O17" s="47"/>
      <c r="P17" s="88"/>
      <c r="Q17" s="47"/>
      <c r="R17" s="47"/>
      <c r="S17" s="46"/>
      <c r="T17" s="47"/>
      <c r="U17" s="47"/>
      <c r="V17" s="44"/>
      <c r="W17" s="44"/>
      <c r="X17" s="44"/>
      <c r="Y17" s="6"/>
      <c r="Z17" s="86">
        <f>SUM(Z16-Z15)*Z14</f>
        <v>14417.503125</v>
      </c>
    </row>
    <row r="18" spans="1:26" ht="21.75" thickBot="1">
      <c r="A18" s="114"/>
      <c r="B18" s="115"/>
      <c r="C18" s="115"/>
      <c r="D18" s="116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48"/>
      <c r="P18" s="48"/>
      <c r="Q18" s="48"/>
      <c r="R18" s="48"/>
      <c r="S18" s="48"/>
      <c r="T18" s="48"/>
      <c r="U18" s="48"/>
      <c r="V18" s="45"/>
      <c r="W18" s="45"/>
      <c r="X18" s="45"/>
      <c r="Y18" s="7"/>
      <c r="Z18" s="87"/>
    </row>
    <row r="19" spans="1:26" ht="42.75" customHeight="1" thickBot="1">
      <c r="A19" s="55" t="s">
        <v>55</v>
      </c>
      <c r="B19" s="56"/>
      <c r="C19" s="56"/>
      <c r="D19" s="57"/>
      <c r="E19" s="53" t="s">
        <v>66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3">
        <f>SUM(Z17)*12/0.18</f>
        <v>961166.8749999999</v>
      </c>
    </row>
    <row r="20" spans="1:26" ht="21">
      <c r="A20" s="105" t="s">
        <v>62</v>
      </c>
      <c r="B20" s="106"/>
      <c r="C20" s="106"/>
      <c r="D20" s="107"/>
      <c r="E20" s="75" t="s">
        <v>68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  <c r="Z20" s="73">
        <f>SUM(Z17+Z9)</f>
        <v>80591.371875</v>
      </c>
    </row>
    <row r="21" spans="1:26" ht="21.75" thickBot="1">
      <c r="A21" s="108"/>
      <c r="B21" s="109"/>
      <c r="C21" s="109"/>
      <c r="D21" s="110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74"/>
    </row>
    <row r="22" spans="1:19" ht="33" customHeight="1">
      <c r="A22" s="52" t="s">
        <v>48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25" ht="21">
      <c r="A23" s="10"/>
      <c r="B23" s="22" t="str">
        <f>C2</f>
        <v>導師</v>
      </c>
      <c r="C23" s="51" t="s">
        <v>10</v>
      </c>
      <c r="D23" s="51"/>
      <c r="E23" s="22">
        <f>D2</f>
        <v>15</v>
      </c>
      <c r="F23" s="22" t="s">
        <v>7</v>
      </c>
      <c r="G23" s="22">
        <v>1</v>
      </c>
      <c r="H23" s="22" t="s">
        <v>11</v>
      </c>
      <c r="I23" s="101">
        <f>E23*G23</f>
        <v>15</v>
      </c>
      <c r="J23" s="101"/>
      <c r="K23" s="101" t="s">
        <v>15</v>
      </c>
      <c r="L23" s="51"/>
      <c r="M23" s="10"/>
      <c r="N23" s="128" t="s">
        <v>14</v>
      </c>
      <c r="O23" s="128"/>
      <c r="P23" s="22">
        <f>I23+I24+I25</f>
        <v>32</v>
      </c>
      <c r="Q23" s="51" t="s">
        <v>23</v>
      </c>
      <c r="R23" s="51"/>
      <c r="S23" s="10"/>
      <c r="T23" s="10"/>
      <c r="U23" s="10"/>
      <c r="V23" s="10"/>
      <c r="W23" s="10"/>
      <c r="X23" s="10"/>
      <c r="Y23" s="10"/>
    </row>
    <row r="24" spans="1:25" ht="21">
      <c r="A24" s="10" t="s">
        <v>12</v>
      </c>
      <c r="B24" s="22" t="str">
        <f>F2</f>
        <v>組長</v>
      </c>
      <c r="C24" s="51" t="s">
        <v>10</v>
      </c>
      <c r="D24" s="51"/>
      <c r="E24" s="24">
        <f>G2</f>
        <v>6</v>
      </c>
      <c r="F24" s="22" t="s">
        <v>7</v>
      </c>
      <c r="G24" s="22">
        <v>1.5</v>
      </c>
      <c r="H24" s="22" t="s">
        <v>11</v>
      </c>
      <c r="I24" s="101">
        <f>E24*G24</f>
        <v>9</v>
      </c>
      <c r="J24" s="101"/>
      <c r="K24" s="101" t="s">
        <v>15</v>
      </c>
      <c r="L24" s="51"/>
      <c r="M24" s="10"/>
      <c r="N24" s="51"/>
      <c r="O24" s="51"/>
      <c r="P24" s="51"/>
      <c r="Q24" s="51"/>
      <c r="R24" s="51"/>
      <c r="S24" s="51"/>
      <c r="T24" s="51"/>
      <c r="U24" s="51"/>
      <c r="V24" s="51"/>
      <c r="W24" s="23"/>
      <c r="X24" s="23"/>
      <c r="Y24" s="10"/>
    </row>
    <row r="25" spans="1:25" ht="21">
      <c r="A25" s="10" t="s">
        <v>13</v>
      </c>
      <c r="B25" s="22" t="str">
        <f>I2</f>
        <v>主任</v>
      </c>
      <c r="C25" s="51" t="s">
        <v>10</v>
      </c>
      <c r="D25" s="51"/>
      <c r="E25" s="24">
        <f>J2</f>
        <v>4</v>
      </c>
      <c r="F25" s="22" t="s">
        <v>7</v>
      </c>
      <c r="G25" s="22">
        <v>2</v>
      </c>
      <c r="H25" s="22" t="s">
        <v>11</v>
      </c>
      <c r="I25" s="101">
        <f>E25*G25</f>
        <v>8</v>
      </c>
      <c r="J25" s="101"/>
      <c r="K25" s="101" t="s">
        <v>15</v>
      </c>
      <c r="L25" s="5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</sheetData>
  <mergeCells count="82">
    <mergeCell ref="B1:C1"/>
    <mergeCell ref="C23:D23"/>
    <mergeCell ref="I23:J23"/>
    <mergeCell ref="C25:D25"/>
    <mergeCell ref="I25:J25"/>
    <mergeCell ref="E9:N9"/>
    <mergeCell ref="E10:N10"/>
    <mergeCell ref="E11:N11"/>
    <mergeCell ref="N23:O23"/>
    <mergeCell ref="K25:L25"/>
    <mergeCell ref="E1:F1"/>
    <mergeCell ref="G1:I1"/>
    <mergeCell ref="K24:L24"/>
    <mergeCell ref="K1:M1"/>
    <mergeCell ref="M4:Q4"/>
    <mergeCell ref="Q23:R23"/>
    <mergeCell ref="K23:L23"/>
    <mergeCell ref="P5:Q5"/>
    <mergeCell ref="E14:N14"/>
    <mergeCell ref="L13:M13"/>
    <mergeCell ref="C24:D24"/>
    <mergeCell ref="I24:J24"/>
    <mergeCell ref="E5:N5"/>
    <mergeCell ref="E6:N6"/>
    <mergeCell ref="E7:N7"/>
    <mergeCell ref="A5:D9"/>
    <mergeCell ref="A20:D21"/>
    <mergeCell ref="A17:D18"/>
    <mergeCell ref="A15:D15"/>
    <mergeCell ref="A16:D16"/>
    <mergeCell ref="U7:V7"/>
    <mergeCell ref="P6:Q6"/>
    <mergeCell ref="P8:Q8"/>
    <mergeCell ref="P7:R7"/>
    <mergeCell ref="U8:V8"/>
    <mergeCell ref="U6:V6"/>
    <mergeCell ref="E13:J13"/>
    <mergeCell ref="A2:B2"/>
    <mergeCell ref="A3:D3"/>
    <mergeCell ref="A4:E4"/>
    <mergeCell ref="F4:G4"/>
    <mergeCell ref="A10:D14"/>
    <mergeCell ref="M2:N2"/>
    <mergeCell ref="Z20:Z21"/>
    <mergeCell ref="E20:Y21"/>
    <mergeCell ref="E15:P15"/>
    <mergeCell ref="X15:Y15"/>
    <mergeCell ref="T15:V15"/>
    <mergeCell ref="Z17:Z18"/>
    <mergeCell ref="U17:U18"/>
    <mergeCell ref="P17:Q18"/>
    <mergeCell ref="R17:R18"/>
    <mergeCell ref="E17:N18"/>
    <mergeCell ref="W1:X1"/>
    <mergeCell ref="U2:Y2"/>
    <mergeCell ref="V3:Y3"/>
    <mergeCell ref="S1:T1"/>
    <mergeCell ref="R3:S3"/>
    <mergeCell ref="P1:Q1"/>
    <mergeCell ref="G3:I3"/>
    <mergeCell ref="J3:K3"/>
    <mergeCell ref="N3:Q3"/>
    <mergeCell ref="T17:T18"/>
    <mergeCell ref="W5:X5"/>
    <mergeCell ref="R4:S4"/>
    <mergeCell ref="E12:N12"/>
    <mergeCell ref="E8:N8"/>
    <mergeCell ref="O10:Y10"/>
    <mergeCell ref="O11:Y11"/>
    <mergeCell ref="V13:W13"/>
    <mergeCell ref="R13:S13"/>
    <mergeCell ref="O13:P13"/>
    <mergeCell ref="O17:O18"/>
    <mergeCell ref="S5:T5"/>
    <mergeCell ref="N24:V24"/>
    <mergeCell ref="A22:S22"/>
    <mergeCell ref="E16:G16"/>
    <mergeCell ref="A19:D19"/>
    <mergeCell ref="E19:Y19"/>
    <mergeCell ref="H16:I16"/>
    <mergeCell ref="V17:X18"/>
    <mergeCell ref="S17:S1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58" zoomScaleNormal="58" workbookViewId="0" topLeftCell="A9">
      <selection activeCell="Z20" sqref="Z20:Z21"/>
    </sheetView>
  </sheetViews>
  <sheetFormatPr defaultColWidth="9.00390625" defaultRowHeight="16.5"/>
  <cols>
    <col min="1" max="3" width="5.875" style="1" customWidth="1"/>
    <col min="4" max="4" width="7.25390625" style="1" bestFit="1" customWidth="1"/>
    <col min="5" max="25" width="5.875" style="1" customWidth="1"/>
    <col min="26" max="26" width="15.625" style="1" bestFit="1" customWidth="1"/>
    <col min="27" max="16384" width="5.875" style="1" customWidth="1"/>
  </cols>
  <sheetData>
    <row r="1" spans="1:26" ht="29.25" customHeight="1">
      <c r="A1" s="1" t="s">
        <v>28</v>
      </c>
      <c r="B1" s="125" t="s">
        <v>47</v>
      </c>
      <c r="C1" s="125"/>
      <c r="D1" s="3" t="s">
        <v>29</v>
      </c>
      <c r="E1" s="71" t="s">
        <v>57</v>
      </c>
      <c r="F1" s="71"/>
      <c r="G1" s="68" t="s">
        <v>30</v>
      </c>
      <c r="H1" s="69"/>
      <c r="I1" s="69"/>
      <c r="J1" s="34" t="s">
        <v>58</v>
      </c>
      <c r="K1" s="68" t="s">
        <v>38</v>
      </c>
      <c r="L1" s="68"/>
      <c r="M1" s="68"/>
      <c r="N1" s="34" t="s">
        <v>52</v>
      </c>
      <c r="O1" s="3" t="s">
        <v>22</v>
      </c>
      <c r="P1" s="68" t="s">
        <v>39</v>
      </c>
      <c r="Q1" s="68"/>
      <c r="R1" s="25">
        <v>0.87</v>
      </c>
      <c r="S1" s="68" t="s">
        <v>40</v>
      </c>
      <c r="T1" s="70"/>
      <c r="U1" s="35" t="s">
        <v>59</v>
      </c>
      <c r="V1" s="8" t="s">
        <v>22</v>
      </c>
      <c r="W1" s="68" t="s">
        <v>41</v>
      </c>
      <c r="X1" s="68"/>
      <c r="Y1" s="25">
        <v>0.22</v>
      </c>
      <c r="Z1" s="9" t="s">
        <v>17</v>
      </c>
    </row>
    <row r="2" spans="1:26" ht="30.75" customHeight="1">
      <c r="A2" s="68" t="s">
        <v>43</v>
      </c>
      <c r="B2" s="69"/>
      <c r="C2" s="3" t="s">
        <v>42</v>
      </c>
      <c r="D2" s="26">
        <v>15</v>
      </c>
      <c r="E2" s="3" t="s">
        <v>33</v>
      </c>
      <c r="F2" s="2" t="s">
        <v>31</v>
      </c>
      <c r="G2" s="21">
        <v>6</v>
      </c>
      <c r="H2" s="3" t="s">
        <v>25</v>
      </c>
      <c r="I2" s="2" t="s">
        <v>32</v>
      </c>
      <c r="J2" s="21">
        <v>4</v>
      </c>
      <c r="K2" s="3" t="s">
        <v>22</v>
      </c>
      <c r="L2" s="3"/>
      <c r="M2" s="72" t="s">
        <v>26</v>
      </c>
      <c r="N2" s="69"/>
      <c r="O2" s="21">
        <v>95</v>
      </c>
      <c r="P2" s="3" t="s">
        <v>25</v>
      </c>
      <c r="Q2" s="21">
        <v>8</v>
      </c>
      <c r="R2" s="3" t="s">
        <v>27</v>
      </c>
      <c r="S2" s="21">
        <v>1</v>
      </c>
      <c r="T2" s="3" t="s">
        <v>34</v>
      </c>
      <c r="U2" s="68" t="s">
        <v>49</v>
      </c>
      <c r="V2" s="68"/>
      <c r="W2" s="68"/>
      <c r="X2" s="68"/>
      <c r="Y2" s="69"/>
      <c r="Z2" s="19">
        <v>25570</v>
      </c>
    </row>
    <row r="3" spans="1:26" ht="30" customHeight="1">
      <c r="A3" s="68" t="s">
        <v>36</v>
      </c>
      <c r="B3" s="69"/>
      <c r="C3" s="69"/>
      <c r="D3" s="69"/>
      <c r="E3" s="20">
        <v>625</v>
      </c>
      <c r="F3" s="3" t="s">
        <v>35</v>
      </c>
      <c r="G3" s="68" t="s">
        <v>37</v>
      </c>
      <c r="H3" s="68"/>
      <c r="I3" s="69"/>
      <c r="J3" s="71">
        <v>45665</v>
      </c>
      <c r="K3" s="71"/>
      <c r="L3" s="3" t="s">
        <v>35</v>
      </c>
      <c r="M3" s="3"/>
      <c r="N3" s="68"/>
      <c r="O3" s="69"/>
      <c r="P3" s="69"/>
      <c r="Q3" s="69"/>
      <c r="R3" s="51"/>
      <c r="S3" s="51"/>
      <c r="V3" s="68" t="s">
        <v>44</v>
      </c>
      <c r="W3" s="68"/>
      <c r="X3" s="68"/>
      <c r="Y3" s="68"/>
      <c r="Z3" s="37">
        <v>0.965</v>
      </c>
    </row>
    <row r="4" spans="1:20" ht="27.75" customHeight="1" thickBot="1">
      <c r="A4" s="68" t="s">
        <v>45</v>
      </c>
      <c r="B4" s="68"/>
      <c r="C4" s="68"/>
      <c r="D4" s="68"/>
      <c r="E4" s="69"/>
      <c r="F4" s="89">
        <v>0.95</v>
      </c>
      <c r="G4" s="90"/>
      <c r="M4" s="122" t="s">
        <v>50</v>
      </c>
      <c r="N4" s="122"/>
      <c r="O4" s="122"/>
      <c r="P4" s="122"/>
      <c r="Q4" s="122"/>
      <c r="R4" s="40">
        <v>3000</v>
      </c>
      <c r="S4" s="40"/>
      <c r="T4" s="1" t="s">
        <v>51</v>
      </c>
    </row>
    <row r="5" spans="1:26" s="10" customFormat="1" ht="21">
      <c r="A5" s="91" t="s">
        <v>60</v>
      </c>
      <c r="B5" s="92"/>
      <c r="C5" s="92"/>
      <c r="D5" s="93"/>
      <c r="E5" s="41" t="s">
        <v>0</v>
      </c>
      <c r="F5" s="39"/>
      <c r="G5" s="39"/>
      <c r="H5" s="39"/>
      <c r="I5" s="39"/>
      <c r="J5" s="39"/>
      <c r="K5" s="39"/>
      <c r="L5" s="39"/>
      <c r="M5" s="39"/>
      <c r="N5" s="39"/>
      <c r="O5" s="13" t="s">
        <v>16</v>
      </c>
      <c r="P5" s="63">
        <f>J3</f>
        <v>45665</v>
      </c>
      <c r="Q5" s="63"/>
      <c r="R5" s="14" t="s">
        <v>7</v>
      </c>
      <c r="S5" s="49">
        <f>R1</f>
        <v>0.87</v>
      </c>
      <c r="T5" s="50"/>
      <c r="U5" s="15" t="s">
        <v>17</v>
      </c>
      <c r="V5" s="14" t="s">
        <v>3</v>
      </c>
      <c r="W5" s="50">
        <v>930</v>
      </c>
      <c r="X5" s="39"/>
      <c r="Y5" s="12"/>
      <c r="Z5" s="29">
        <f>((P5*S5)+W5)/2</f>
        <v>20329.275</v>
      </c>
    </row>
    <row r="6" spans="1:26" s="10" customFormat="1" ht="21">
      <c r="A6" s="94"/>
      <c r="B6" s="95"/>
      <c r="C6" s="95"/>
      <c r="D6" s="96"/>
      <c r="E6" s="41" t="s">
        <v>1</v>
      </c>
      <c r="F6" s="39"/>
      <c r="G6" s="39"/>
      <c r="H6" s="39"/>
      <c r="I6" s="39"/>
      <c r="J6" s="39"/>
      <c r="K6" s="39"/>
      <c r="L6" s="39"/>
      <c r="M6" s="39"/>
      <c r="N6" s="39"/>
      <c r="O6" s="13"/>
      <c r="P6" s="63">
        <f>Z10</f>
        <v>45665</v>
      </c>
      <c r="Q6" s="63"/>
      <c r="R6" s="14" t="s">
        <v>7</v>
      </c>
      <c r="S6" s="14">
        <v>2</v>
      </c>
      <c r="T6" s="14" t="s">
        <v>7</v>
      </c>
      <c r="U6" s="49">
        <f>Y1</f>
        <v>0.22</v>
      </c>
      <c r="V6" s="50"/>
      <c r="W6" s="11"/>
      <c r="X6" s="11"/>
      <c r="Y6" s="12"/>
      <c r="Z6" s="29">
        <f>(P6*S6*U6)/2</f>
        <v>10046.3</v>
      </c>
    </row>
    <row r="7" spans="1:26" s="10" customFormat="1" ht="21">
      <c r="A7" s="94"/>
      <c r="B7" s="95"/>
      <c r="C7" s="95"/>
      <c r="D7" s="96"/>
      <c r="E7" s="41" t="s">
        <v>56</v>
      </c>
      <c r="F7" s="39"/>
      <c r="G7" s="39"/>
      <c r="H7" s="39"/>
      <c r="I7" s="39"/>
      <c r="J7" s="39"/>
      <c r="K7" s="39"/>
      <c r="L7" s="39"/>
      <c r="M7" s="39"/>
      <c r="N7" s="39"/>
      <c r="O7" s="13"/>
      <c r="P7" s="63"/>
      <c r="Q7" s="63"/>
      <c r="R7" s="100"/>
      <c r="S7" s="14"/>
      <c r="T7" s="14"/>
      <c r="U7" s="49"/>
      <c r="V7" s="50"/>
      <c r="W7" s="11"/>
      <c r="X7" s="14"/>
      <c r="Y7" s="16"/>
      <c r="Z7" s="29"/>
    </row>
    <row r="8" spans="1:26" s="10" customFormat="1" ht="21">
      <c r="A8" s="94"/>
      <c r="B8" s="95"/>
      <c r="C8" s="95"/>
      <c r="D8" s="96"/>
      <c r="E8" s="41" t="s">
        <v>2</v>
      </c>
      <c r="F8" s="39"/>
      <c r="G8" s="39"/>
      <c r="H8" s="39"/>
      <c r="I8" s="39"/>
      <c r="J8" s="39"/>
      <c r="K8" s="39"/>
      <c r="L8" s="39"/>
      <c r="M8" s="39"/>
      <c r="N8" s="39"/>
      <c r="O8" s="13" t="s">
        <v>16</v>
      </c>
      <c r="P8" s="63">
        <f>J3</f>
        <v>45665</v>
      </c>
      <c r="Q8" s="63"/>
      <c r="R8" s="14" t="s">
        <v>7</v>
      </c>
      <c r="S8" s="14">
        <v>1.5</v>
      </c>
      <c r="T8" s="14" t="s">
        <v>7</v>
      </c>
      <c r="U8" s="49">
        <f>F4</f>
        <v>0.95</v>
      </c>
      <c r="V8" s="50"/>
      <c r="W8" s="11" t="s">
        <v>17</v>
      </c>
      <c r="X8" s="14" t="s">
        <v>8</v>
      </c>
      <c r="Y8" s="16">
        <v>12</v>
      </c>
      <c r="Z8" s="29">
        <f>((P8*S8*U8)/Y8)/2</f>
        <v>2711.359375</v>
      </c>
    </row>
    <row r="9" spans="1:26" s="10" customFormat="1" ht="21.75" thickBot="1">
      <c r="A9" s="102"/>
      <c r="B9" s="103"/>
      <c r="C9" s="103"/>
      <c r="D9" s="104"/>
      <c r="E9" s="123" t="s">
        <v>4</v>
      </c>
      <c r="F9" s="124"/>
      <c r="G9" s="124"/>
      <c r="H9" s="124"/>
      <c r="I9" s="124"/>
      <c r="J9" s="124"/>
      <c r="K9" s="124"/>
      <c r="L9" s="124"/>
      <c r="M9" s="124"/>
      <c r="N9" s="124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30">
        <f>Z5+Z6+Z7+Z8</f>
        <v>33086.934375</v>
      </c>
    </row>
    <row r="10" spans="1:26" ht="21">
      <c r="A10" s="91" t="s">
        <v>61</v>
      </c>
      <c r="B10" s="92"/>
      <c r="C10" s="92"/>
      <c r="D10" s="93"/>
      <c r="E10" s="126" t="s">
        <v>18</v>
      </c>
      <c r="F10" s="127"/>
      <c r="G10" s="127"/>
      <c r="H10" s="127"/>
      <c r="I10" s="127"/>
      <c r="J10" s="127"/>
      <c r="K10" s="127"/>
      <c r="L10" s="127"/>
      <c r="M10" s="127"/>
      <c r="N10" s="127"/>
      <c r="O10" s="42">
        <f>E3</f>
        <v>625</v>
      </c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31">
        <f>J3</f>
        <v>45665</v>
      </c>
    </row>
    <row r="11" spans="1:26" ht="21">
      <c r="A11" s="94"/>
      <c r="B11" s="95"/>
      <c r="C11" s="95"/>
      <c r="D11" s="96"/>
      <c r="E11" s="41" t="s">
        <v>5</v>
      </c>
      <c r="F11" s="39"/>
      <c r="G11" s="39"/>
      <c r="H11" s="39"/>
      <c r="I11" s="39"/>
      <c r="J11" s="39"/>
      <c r="K11" s="39"/>
      <c r="L11" s="39"/>
      <c r="M11" s="39"/>
      <c r="N11" s="3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62"/>
      <c r="Z11" s="29">
        <f>Z2</f>
        <v>25570</v>
      </c>
    </row>
    <row r="12" spans="1:26" ht="21">
      <c r="A12" s="94"/>
      <c r="B12" s="95"/>
      <c r="C12" s="95"/>
      <c r="D12" s="96"/>
      <c r="E12" s="41" t="s">
        <v>19</v>
      </c>
      <c r="F12" s="39"/>
      <c r="G12" s="39"/>
      <c r="H12" s="39"/>
      <c r="I12" s="39"/>
      <c r="J12" s="39"/>
      <c r="K12" s="39"/>
      <c r="L12" s="39"/>
      <c r="M12" s="39"/>
      <c r="N12" s="3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29">
        <f>R4</f>
        <v>3000</v>
      </c>
    </row>
    <row r="13" spans="1:26" ht="21">
      <c r="A13" s="94"/>
      <c r="B13" s="95"/>
      <c r="C13" s="95"/>
      <c r="D13" s="96"/>
      <c r="E13" s="41" t="s">
        <v>24</v>
      </c>
      <c r="F13" s="39"/>
      <c r="G13" s="39"/>
      <c r="H13" s="39"/>
      <c r="I13" s="39"/>
      <c r="J13" s="39"/>
      <c r="K13" s="14" t="s">
        <v>16</v>
      </c>
      <c r="L13" s="63">
        <f>Z10</f>
        <v>45665</v>
      </c>
      <c r="M13" s="63"/>
      <c r="N13" s="14" t="s">
        <v>3</v>
      </c>
      <c r="O13" s="63">
        <f>Z11</f>
        <v>25570</v>
      </c>
      <c r="P13" s="63"/>
      <c r="Q13" s="14" t="s">
        <v>3</v>
      </c>
      <c r="R13" s="63">
        <f>Z12</f>
        <v>3000</v>
      </c>
      <c r="S13" s="63"/>
      <c r="T13" s="14" t="s">
        <v>17</v>
      </c>
      <c r="U13" s="14" t="s">
        <v>7</v>
      </c>
      <c r="V13" s="50">
        <v>1.5</v>
      </c>
      <c r="W13" s="50"/>
      <c r="X13" s="14" t="s">
        <v>8</v>
      </c>
      <c r="Y13" s="16">
        <v>12</v>
      </c>
      <c r="Z13" s="29">
        <f>(L13+O13+R13)*V13/Y13</f>
        <v>9279.375</v>
      </c>
    </row>
    <row r="14" spans="1:26" ht="21.75" thickBot="1">
      <c r="A14" s="97"/>
      <c r="B14" s="98"/>
      <c r="C14" s="98"/>
      <c r="D14" s="99"/>
      <c r="E14" s="123" t="s">
        <v>20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30">
        <f>Z10+Z11+Z12+Z13</f>
        <v>83514.375</v>
      </c>
    </row>
    <row r="15" spans="1:26" ht="21.75" thickBot="1">
      <c r="A15" s="117" t="s">
        <v>21</v>
      </c>
      <c r="B15" s="118"/>
      <c r="C15" s="118"/>
      <c r="D15" s="118"/>
      <c r="E15" s="81" t="s">
        <v>9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5"/>
      <c r="R15" s="5"/>
      <c r="S15" s="5"/>
      <c r="T15" s="85">
        <f>Z9</f>
        <v>33086.934375</v>
      </c>
      <c r="U15" s="85"/>
      <c r="V15" s="85"/>
      <c r="W15" s="4" t="s">
        <v>8</v>
      </c>
      <c r="X15" s="83">
        <f>Z14</f>
        <v>83514.375</v>
      </c>
      <c r="Y15" s="84"/>
      <c r="Z15" s="32">
        <f>T15/X15</f>
        <v>0.3961825060057026</v>
      </c>
    </row>
    <row r="16" spans="1:26" ht="48.75" customHeight="1" thickBot="1">
      <c r="A16" s="119" t="s">
        <v>46</v>
      </c>
      <c r="B16" s="120"/>
      <c r="C16" s="120"/>
      <c r="D16" s="121"/>
      <c r="E16" s="53" t="s">
        <v>6</v>
      </c>
      <c r="F16" s="54"/>
      <c r="G16" s="54"/>
      <c r="H16" s="60" t="str">
        <f>J1</f>
        <v>38</v>
      </c>
      <c r="I16" s="61"/>
      <c r="J16" s="28" t="s">
        <v>22</v>
      </c>
      <c r="K16" s="28"/>
      <c r="L16" s="28"/>
      <c r="M16" s="28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6"/>
      <c r="Z16" s="38">
        <f>Z3</f>
        <v>0.965</v>
      </c>
    </row>
    <row r="17" spans="1:26" ht="21">
      <c r="A17" s="111" t="s">
        <v>53</v>
      </c>
      <c r="B17" s="112"/>
      <c r="C17" s="112"/>
      <c r="D17" s="113"/>
      <c r="E17" s="64" t="s">
        <v>54</v>
      </c>
      <c r="F17" s="65"/>
      <c r="G17" s="65"/>
      <c r="H17" s="65"/>
      <c r="I17" s="65"/>
      <c r="J17" s="65"/>
      <c r="K17" s="65"/>
      <c r="L17" s="65"/>
      <c r="M17" s="65"/>
      <c r="N17" s="65"/>
      <c r="O17" s="47"/>
      <c r="P17" s="88"/>
      <c r="Q17" s="47"/>
      <c r="R17" s="47"/>
      <c r="S17" s="46"/>
      <c r="T17" s="47"/>
      <c r="U17" s="47"/>
      <c r="V17" s="44"/>
      <c r="W17" s="44"/>
      <c r="X17" s="44"/>
      <c r="Y17" s="6"/>
      <c r="Z17" s="86">
        <f>SUM((Z16-Z15)*Z14)/2</f>
        <v>23752.21875</v>
      </c>
    </row>
    <row r="18" spans="1:26" ht="21.75" thickBot="1">
      <c r="A18" s="114"/>
      <c r="B18" s="115"/>
      <c r="C18" s="115"/>
      <c r="D18" s="116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48"/>
      <c r="P18" s="48"/>
      <c r="Q18" s="48"/>
      <c r="R18" s="48"/>
      <c r="S18" s="48"/>
      <c r="T18" s="48"/>
      <c r="U18" s="48"/>
      <c r="V18" s="45"/>
      <c r="W18" s="45"/>
      <c r="X18" s="45"/>
      <c r="Y18" s="7"/>
      <c r="Z18" s="87"/>
    </row>
    <row r="19" spans="1:26" ht="66" customHeight="1" thickBot="1">
      <c r="A19" s="55" t="s">
        <v>63</v>
      </c>
      <c r="B19" s="56"/>
      <c r="C19" s="56"/>
      <c r="D19" s="57"/>
      <c r="E19" s="53" t="s">
        <v>66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3">
        <f>SUM(Z17)*12/0.18</f>
        <v>1583481.25</v>
      </c>
    </row>
    <row r="20" spans="1:26" ht="21">
      <c r="A20" s="105" t="s">
        <v>64</v>
      </c>
      <c r="B20" s="106"/>
      <c r="C20" s="106"/>
      <c r="D20" s="107"/>
      <c r="E20" s="75" t="s">
        <v>67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  <c r="Z20" s="73">
        <f>SUM(Z17+Z9)</f>
        <v>56839.153125</v>
      </c>
    </row>
    <row r="21" spans="1:26" ht="69.75" customHeight="1" thickBot="1">
      <c r="A21" s="108"/>
      <c r="B21" s="109"/>
      <c r="C21" s="109"/>
      <c r="D21" s="110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74"/>
    </row>
    <row r="22" spans="1:19" ht="33" customHeight="1">
      <c r="A22" s="52" t="s">
        <v>48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25" ht="21">
      <c r="A23" s="10"/>
      <c r="B23" s="22" t="str">
        <f>C2</f>
        <v>導師</v>
      </c>
      <c r="C23" s="51" t="s">
        <v>10</v>
      </c>
      <c r="D23" s="51"/>
      <c r="E23" s="22">
        <f>D2</f>
        <v>15</v>
      </c>
      <c r="F23" s="22" t="s">
        <v>7</v>
      </c>
      <c r="G23" s="22">
        <v>1</v>
      </c>
      <c r="H23" s="22" t="s">
        <v>11</v>
      </c>
      <c r="I23" s="101">
        <f>E23*G23</f>
        <v>15</v>
      </c>
      <c r="J23" s="101"/>
      <c r="K23" s="101" t="s">
        <v>15</v>
      </c>
      <c r="L23" s="51"/>
      <c r="M23" s="10"/>
      <c r="N23" s="128" t="s">
        <v>14</v>
      </c>
      <c r="O23" s="128"/>
      <c r="P23" s="22">
        <f>I23+I24+I25</f>
        <v>32</v>
      </c>
      <c r="Q23" s="51" t="s">
        <v>23</v>
      </c>
      <c r="R23" s="51"/>
      <c r="S23" s="10"/>
      <c r="T23" s="10"/>
      <c r="U23" s="10"/>
      <c r="V23" s="10"/>
      <c r="W23" s="10"/>
      <c r="X23" s="10"/>
      <c r="Y23" s="10"/>
    </row>
    <row r="24" spans="1:25" ht="21">
      <c r="A24" s="10" t="s">
        <v>12</v>
      </c>
      <c r="B24" s="22" t="str">
        <f>F2</f>
        <v>組長</v>
      </c>
      <c r="C24" s="51" t="s">
        <v>10</v>
      </c>
      <c r="D24" s="51"/>
      <c r="E24" s="24">
        <f>G2</f>
        <v>6</v>
      </c>
      <c r="F24" s="22" t="s">
        <v>7</v>
      </c>
      <c r="G24" s="22">
        <v>1.5</v>
      </c>
      <c r="H24" s="22" t="s">
        <v>11</v>
      </c>
      <c r="I24" s="101">
        <f>E24*G24</f>
        <v>9</v>
      </c>
      <c r="J24" s="101"/>
      <c r="K24" s="101" t="s">
        <v>15</v>
      </c>
      <c r="L24" s="51"/>
      <c r="M24" s="10"/>
      <c r="N24" s="51"/>
      <c r="O24" s="51"/>
      <c r="P24" s="51"/>
      <c r="Q24" s="51"/>
      <c r="R24" s="51"/>
      <c r="S24" s="51"/>
      <c r="T24" s="51"/>
      <c r="U24" s="51"/>
      <c r="V24" s="51"/>
      <c r="W24" s="23"/>
      <c r="X24" s="23"/>
      <c r="Y24" s="10"/>
    </row>
    <row r="25" spans="1:25" ht="21">
      <c r="A25" s="10" t="s">
        <v>13</v>
      </c>
      <c r="B25" s="22" t="str">
        <f>I2</f>
        <v>主任</v>
      </c>
      <c r="C25" s="51" t="s">
        <v>10</v>
      </c>
      <c r="D25" s="51"/>
      <c r="E25" s="24">
        <f>J2</f>
        <v>4</v>
      </c>
      <c r="F25" s="22" t="s">
        <v>7</v>
      </c>
      <c r="G25" s="22">
        <v>2</v>
      </c>
      <c r="H25" s="22" t="s">
        <v>11</v>
      </c>
      <c r="I25" s="101">
        <f>E25*G25</f>
        <v>8</v>
      </c>
      <c r="J25" s="101"/>
      <c r="K25" s="101" t="s">
        <v>15</v>
      </c>
      <c r="L25" s="5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</sheetData>
  <mergeCells count="82">
    <mergeCell ref="C25:D25"/>
    <mergeCell ref="I25:J25"/>
    <mergeCell ref="K25:L25"/>
    <mergeCell ref="N24:V24"/>
    <mergeCell ref="Q23:R23"/>
    <mergeCell ref="C24:D24"/>
    <mergeCell ref="I24:J24"/>
    <mergeCell ref="K24:L24"/>
    <mergeCell ref="C23:D23"/>
    <mergeCell ref="I23:J23"/>
    <mergeCell ref="K23:L23"/>
    <mergeCell ref="N23:O23"/>
    <mergeCell ref="A20:D21"/>
    <mergeCell ref="E20:Y21"/>
    <mergeCell ref="Z20:Z21"/>
    <mergeCell ref="A22:S22"/>
    <mergeCell ref="Z17:Z18"/>
    <mergeCell ref="A19:D19"/>
    <mergeCell ref="E19:Y19"/>
    <mergeCell ref="R17:R18"/>
    <mergeCell ref="S17:S18"/>
    <mergeCell ref="T17:T18"/>
    <mergeCell ref="U17:U18"/>
    <mergeCell ref="A17:D18"/>
    <mergeCell ref="E17:N18"/>
    <mergeCell ref="O17:O18"/>
    <mergeCell ref="R13:S13"/>
    <mergeCell ref="P17:Q18"/>
    <mergeCell ref="X15:Y15"/>
    <mergeCell ref="A16:D16"/>
    <mergeCell ref="E16:G16"/>
    <mergeCell ref="H16:I16"/>
    <mergeCell ref="V17:X18"/>
    <mergeCell ref="V13:W13"/>
    <mergeCell ref="U8:V8"/>
    <mergeCell ref="E14:N14"/>
    <mergeCell ref="A15:D15"/>
    <mergeCell ref="E15:P15"/>
    <mergeCell ref="T15:V15"/>
    <mergeCell ref="A10:D14"/>
    <mergeCell ref="E10:N10"/>
    <mergeCell ref="O10:Y10"/>
    <mergeCell ref="E11:N11"/>
    <mergeCell ref="O11:Y11"/>
    <mergeCell ref="W5:X5"/>
    <mergeCell ref="E6:N6"/>
    <mergeCell ref="P6:Q6"/>
    <mergeCell ref="U6:V6"/>
    <mergeCell ref="E12:N12"/>
    <mergeCell ref="E13:J13"/>
    <mergeCell ref="L13:M13"/>
    <mergeCell ref="O13:P13"/>
    <mergeCell ref="U7:V7"/>
    <mergeCell ref="A5:D9"/>
    <mergeCell ref="E5:N5"/>
    <mergeCell ref="P5:Q5"/>
    <mergeCell ref="S5:T5"/>
    <mergeCell ref="E7:N7"/>
    <mergeCell ref="P7:R7"/>
    <mergeCell ref="E9:N9"/>
    <mergeCell ref="E8:N8"/>
    <mergeCell ref="P8:Q8"/>
    <mergeCell ref="R3:S3"/>
    <mergeCell ref="V3:Y3"/>
    <mergeCell ref="A4:E4"/>
    <mergeCell ref="F4:G4"/>
    <mergeCell ref="A3:D3"/>
    <mergeCell ref="G3:I3"/>
    <mergeCell ref="J3:K3"/>
    <mergeCell ref="N3:Q3"/>
    <mergeCell ref="M4:Q4"/>
    <mergeCell ref="R4:S4"/>
    <mergeCell ref="P1:Q1"/>
    <mergeCell ref="S1:T1"/>
    <mergeCell ref="W1:X1"/>
    <mergeCell ref="A2:B2"/>
    <mergeCell ref="M2:N2"/>
    <mergeCell ref="U2:Y2"/>
    <mergeCell ref="B1:C1"/>
    <mergeCell ref="E1:F1"/>
    <mergeCell ref="G1:I1"/>
    <mergeCell ref="K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cp:lastPrinted>2006-03-01T07:36:51Z</cp:lastPrinted>
  <dcterms:created xsi:type="dcterms:W3CDTF">1997-01-14T01:50:29Z</dcterms:created>
  <dcterms:modified xsi:type="dcterms:W3CDTF">2006-03-22T01:05:00Z</dcterms:modified>
  <cp:category/>
  <cp:version/>
  <cp:contentType/>
  <cp:contentStatus/>
</cp:coreProperties>
</file>